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P:\Transportation\WorkSets\107754_DEL-229-0021\400-Engineering\Structures\CFN_1833295\EngData\Geometry\"/>
    </mc:Choice>
  </mc:AlternateContent>
  <xr:revisionPtr revIDLastSave="0" documentId="13_ncr:1_{20C8AB15-B4A7-409D-B78E-3D725226463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Area" localSheetId="0">Sheet1!$R$1:$Y$18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0" i="1" l="1"/>
  <c r="W13" i="1"/>
  <c r="W15" i="1" s="1"/>
  <c r="S15" i="1"/>
  <c r="S13" i="1"/>
  <c r="J19" i="1"/>
  <c r="O19" i="1"/>
  <c r="W7" i="1"/>
  <c r="S7" i="1"/>
  <c r="O39" i="1"/>
  <c r="J39" i="1"/>
  <c r="O38" i="1"/>
  <c r="J38" i="1"/>
  <c r="O28" i="1"/>
  <c r="O31" i="1" s="1"/>
  <c r="O34" i="1" s="1"/>
  <c r="O37" i="1" s="1"/>
  <c r="O5" i="1"/>
  <c r="O8" i="1" s="1"/>
  <c r="O11" i="1" s="1"/>
  <c r="O14" i="1" s="1"/>
  <c r="C18" i="1"/>
  <c r="O16" i="1"/>
  <c r="O15" i="1"/>
  <c r="J16" i="1"/>
  <c r="C17" i="1"/>
  <c r="O17" i="1" l="1"/>
  <c r="O40" i="1"/>
  <c r="O42" i="1" s="1"/>
  <c r="B8" i="1"/>
  <c r="F7" i="1"/>
  <c r="B7" i="1"/>
  <c r="F6" i="1"/>
  <c r="F5" i="1"/>
  <c r="F4" i="1"/>
  <c r="F3" i="1"/>
  <c r="F2" i="1"/>
  <c r="J28" i="1" l="1"/>
  <c r="J31" i="1" s="1"/>
  <c r="J34" i="1" s="1"/>
  <c r="J37" i="1" s="1"/>
  <c r="J40" i="1" s="1"/>
  <c r="J42" i="1" s="1"/>
  <c r="F9" i="1"/>
  <c r="J5" i="1"/>
  <c r="J8" i="1" s="1"/>
  <c r="J11" i="1" s="1"/>
  <c r="J14" i="1" s="1"/>
  <c r="J17" i="1" s="1"/>
</calcChain>
</file>

<file path=xl/sharedStrings.xml><?xml version="1.0" encoding="utf-8"?>
<sst xmlns="http://schemas.openxmlformats.org/spreadsheetml/2006/main" count="138" uniqueCount="61">
  <si>
    <t>Check the curve data here</t>
  </si>
  <si>
    <t>VPI STA. =</t>
  </si>
  <si>
    <t>PVC STA. :</t>
  </si>
  <si>
    <t>ELEV.=</t>
  </si>
  <si>
    <t>ELEVATION :</t>
  </si>
  <si>
    <t>VC=</t>
  </si>
  <si>
    <t>ft</t>
  </si>
  <si>
    <t>PVI STA. :</t>
  </si>
  <si>
    <t>G1=</t>
  </si>
  <si>
    <t>%</t>
  </si>
  <si>
    <t>G2=</t>
  </si>
  <si>
    <t>PVT STA. :</t>
  </si>
  <si>
    <t>Ra=</t>
  </si>
  <si>
    <t>a=</t>
  </si>
  <si>
    <t>random chainage=</t>
  </si>
  <si>
    <t>Profile El. At random chainage=</t>
  </si>
  <si>
    <t>Curve data input</t>
  </si>
  <si>
    <t>for Constant Slope Profile</t>
  </si>
  <si>
    <t>Slope Commencement station=</t>
  </si>
  <si>
    <t>EL. At SCS.=</t>
  </si>
  <si>
    <t>Profile slope=</t>
  </si>
  <si>
    <t>Inlet Left</t>
  </si>
  <si>
    <t>Station:</t>
  </si>
  <si>
    <t>Profile EL.</t>
  </si>
  <si>
    <t>Offset</t>
  </si>
  <si>
    <t>Lane width=</t>
  </si>
  <si>
    <t>Lane Cross Slope=</t>
  </si>
  <si>
    <t>(I assumed)</t>
  </si>
  <si>
    <t>EL. E/Lane =</t>
  </si>
  <si>
    <t>SHLDR. Width =</t>
  </si>
  <si>
    <t>SHLDR. Cross slope=</t>
  </si>
  <si>
    <t>EL. E/SHLDR. =</t>
  </si>
  <si>
    <t>first 4 feet =</t>
  </si>
  <si>
    <t>first 4 feet cross slope =</t>
  </si>
  <si>
    <t>EL. E/first 4 feet =</t>
  </si>
  <si>
    <t>Remaining offset</t>
  </si>
  <si>
    <t>cross-slope</t>
  </si>
  <si>
    <t>Ground EL. Back edge wingwall</t>
  </si>
  <si>
    <t>Wingwall ht. above ground =</t>
  </si>
  <si>
    <t>Wingwall back edge EL.-</t>
  </si>
  <si>
    <t>Inlet Right</t>
  </si>
  <si>
    <t>Outlet Right</t>
  </si>
  <si>
    <t>Outlet Left</t>
  </si>
  <si>
    <t>Inlet Headwall EL.</t>
  </si>
  <si>
    <t>Bottom Inlet EL. =</t>
  </si>
  <si>
    <t>Culvert height =</t>
  </si>
  <si>
    <t>Culvert top slab thickness=</t>
  </si>
  <si>
    <t>in</t>
  </si>
  <si>
    <t>Headwall thickness=</t>
  </si>
  <si>
    <t>Top of wall El. =</t>
  </si>
  <si>
    <t>Outlet Headwall EL.</t>
  </si>
  <si>
    <t>14 Feet further</t>
  </si>
  <si>
    <t>Inlet Wingwall Edge EL. (controlled by bottom inlet EL.)</t>
  </si>
  <si>
    <t>RCP slope=</t>
  </si>
  <si>
    <t>RCP Length =</t>
  </si>
  <si>
    <t>Ground EL. at edge of WW=</t>
  </si>
  <si>
    <t>Bottom Outlet EL. =</t>
  </si>
  <si>
    <t>Additional ht. from ground=</t>
  </si>
  <si>
    <t>ft.</t>
  </si>
  <si>
    <t>Wingwall Edge EL. =</t>
  </si>
  <si>
    <t>Outlet Wingwall Edge EL. (controlled by bottom outlet EL.)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</si>
</sst>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+00.00"/>
    <numFmt numFmtId="165" formatCode="0.000"/>
  </numFmts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/>
    </xf>
    <xf numFmtId="164" fontId="0" fillId="2" borderId="2" xfId="0" applyNumberFormat="1" applyFill="1" applyBorder="1"/>
    <xf numFmtId="0" fontId="0" fillId="0" borderId="3" xfId="0" applyBorder="1"/>
    <xf numFmtId="0" fontId="0" fillId="0" borderId="1" xfId="0" applyBorder="1" applyAlignment="1">
      <alignment horizontal="right"/>
    </xf>
    <xf numFmtId="164" fontId="0" fillId="0" borderId="2" xfId="0" applyNumberFormat="1" applyBorder="1"/>
    <xf numFmtId="0" fontId="0" fillId="0" borderId="4" xfId="0" applyBorder="1"/>
    <xf numFmtId="0" fontId="0" fillId="2" borderId="0" xfId="0" applyFill="1"/>
    <xf numFmtId="0" fontId="0" fillId="0" borderId="5" xfId="0" applyBorder="1"/>
    <xf numFmtId="0" fontId="0" fillId="0" borderId="4" xfId="0" applyBorder="1" applyAlignment="1">
      <alignment horizontal="right"/>
    </xf>
    <xf numFmtId="2" fontId="1" fillId="2" borderId="0" xfId="0" applyNumberFormat="1" applyFont="1" applyFill="1" applyAlignment="1">
      <alignment horizontal="right"/>
    </xf>
    <xf numFmtId="164" fontId="0" fillId="0" borderId="0" xfId="0" applyNumberFormat="1"/>
    <xf numFmtId="2" fontId="0" fillId="2" borderId="0" xfId="0" applyNumberFormat="1" applyFill="1"/>
    <xf numFmtId="2" fontId="0" fillId="0" borderId="4" xfId="0" applyNumberFormat="1" applyBorder="1"/>
    <xf numFmtId="0" fontId="0" fillId="0" borderId="6" xfId="0" applyBorder="1" applyAlignment="1">
      <alignment horizontal="right"/>
    </xf>
    <xf numFmtId="0" fontId="0" fillId="0" borderId="7" xfId="0" applyBorder="1"/>
    <xf numFmtId="0" fontId="0" fillId="0" borderId="8" xfId="0" applyBorder="1"/>
    <xf numFmtId="0" fontId="0" fillId="0" borderId="6" xfId="0" applyBorder="1"/>
    <xf numFmtId="2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left"/>
    </xf>
    <xf numFmtId="164" fontId="0" fillId="2" borderId="0" xfId="0" applyNumberFormat="1" applyFill="1"/>
    <xf numFmtId="0" fontId="1" fillId="0" borderId="4" xfId="0" applyFont="1" applyBorder="1" applyAlignment="1">
      <alignment horizontal="left"/>
    </xf>
    <xf numFmtId="165" fontId="0" fillId="0" borderId="0" xfId="0" applyNumberFormat="1"/>
    <xf numFmtId="2" fontId="0" fillId="0" borderId="7" xfId="0" applyNumberFormat="1" applyBorder="1"/>
    <xf numFmtId="0" fontId="0" fillId="0" borderId="1" xfId="0" applyBorder="1"/>
    <xf numFmtId="164" fontId="0" fillId="0" borderId="3" xfId="0" applyNumberFormat="1" applyBorder="1"/>
    <xf numFmtId="2" fontId="0" fillId="0" borderId="9" xfId="0" applyNumberFormat="1" applyBorder="1"/>
    <xf numFmtId="165" fontId="0" fillId="0" borderId="5" xfId="0" applyNumberFormat="1" applyBorder="1"/>
    <xf numFmtId="0" fontId="0" fillId="0" borderId="9" xfId="0" applyBorder="1"/>
    <xf numFmtId="2" fontId="0" fillId="3" borderId="8" xfId="0" applyNumberFormat="1" applyFill="1" applyBorder="1"/>
    <xf numFmtId="0" fontId="2" fillId="0" borderId="0" xfId="0" applyFont="1"/>
    <xf numFmtId="0" fontId="0" fillId="0" borderId="2" xfId="0" applyBorder="1"/>
    <xf numFmtId="2" fontId="0" fillId="0" borderId="10" xfId="0" applyNumberFormat="1" applyBorder="1"/>
    <xf numFmtId="164" fontId="1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2"/>
  <sheetViews>
    <sheetView tabSelected="1" view="pageBreakPreview" topLeftCell="J1" zoomScale="124" zoomScaleNormal="100" zoomScaleSheetLayoutView="124" workbookViewId="0">
      <selection activeCell="W19" sqref="W19"/>
    </sheetView>
  </sheetViews>
  <sheetFormatPr defaultRowHeight="15" x14ac:dyDescent="0.25"/>
  <cols>
    <col min="1" max="1" width="29.28515625" bestFit="1" customWidth="1"/>
    <col min="2" max="2" width="9.7109375" bestFit="1" customWidth="1"/>
    <col min="3" max="3" width="9.5703125" bestFit="1" customWidth="1"/>
    <col min="5" max="6" width="29.140625" bestFit="1" customWidth="1"/>
    <col min="9" max="9" width="28.7109375" bestFit="1" customWidth="1"/>
    <col min="14" max="14" width="28.7109375" bestFit="1" customWidth="1"/>
    <col min="15" max="15" width="12" bestFit="1" customWidth="1"/>
    <col min="18" max="18" width="25" bestFit="1" customWidth="1"/>
    <col min="22" max="22" width="25" bestFit="1" customWidth="1"/>
  </cols>
  <sheetData>
    <row r="1" spans="1:24" ht="15.75" thickBot="1" x14ac:dyDescent="0.3">
      <c r="A1" s="19" t="s">
        <v>16</v>
      </c>
      <c r="E1" t="s">
        <v>0</v>
      </c>
    </row>
    <row r="2" spans="1:24" ht="15.75" thickBot="1" x14ac:dyDescent="0.3">
      <c r="A2" s="1" t="s">
        <v>1</v>
      </c>
      <c r="B2" s="2">
        <v>1500</v>
      </c>
      <c r="C2" s="3"/>
      <c r="E2" s="4" t="s">
        <v>2</v>
      </c>
      <c r="F2" s="5">
        <f>B2-B4/2</f>
        <v>1450</v>
      </c>
      <c r="G2" s="3"/>
      <c r="I2" t="s">
        <v>21</v>
      </c>
      <c r="N2" t="s">
        <v>40</v>
      </c>
      <c r="R2" s="30" t="s">
        <v>43</v>
      </c>
      <c r="V2" s="30" t="s">
        <v>50</v>
      </c>
    </row>
    <row r="3" spans="1:24" x14ac:dyDescent="0.25">
      <c r="A3" s="6" t="s">
        <v>3</v>
      </c>
      <c r="B3" s="7">
        <v>949.65</v>
      </c>
      <c r="C3" s="8"/>
      <c r="E3" s="9" t="s">
        <v>4</v>
      </c>
      <c r="F3">
        <f>B3-B4*B5/200</f>
        <v>949.75</v>
      </c>
      <c r="G3" s="8"/>
      <c r="I3" s="24" t="s">
        <v>22</v>
      </c>
      <c r="J3" s="25">
        <v>1460.03</v>
      </c>
      <c r="N3" s="24" t="s">
        <v>22</v>
      </c>
      <c r="O3" s="25">
        <v>1439.9670000000001</v>
      </c>
      <c r="R3" s="24" t="s">
        <v>44</v>
      </c>
      <c r="S3" s="31">
        <v>944.5</v>
      </c>
      <c r="T3" s="3"/>
      <c r="V3" s="24" t="s">
        <v>56</v>
      </c>
      <c r="W3" s="31">
        <v>944.3</v>
      </c>
      <c r="X3" s="3"/>
    </row>
    <row r="4" spans="1:24" x14ac:dyDescent="0.25">
      <c r="A4" s="6" t="s">
        <v>5</v>
      </c>
      <c r="B4" s="10">
        <v>100</v>
      </c>
      <c r="C4" s="8" t="s">
        <v>6</v>
      </c>
      <c r="E4" s="9" t="s">
        <v>7</v>
      </c>
      <c r="F4" s="11">
        <f>B2</f>
        <v>1500</v>
      </c>
      <c r="G4" s="8"/>
      <c r="I4" s="6" t="s">
        <v>24</v>
      </c>
      <c r="J4" s="8">
        <v>43.5</v>
      </c>
      <c r="N4" s="6" t="s">
        <v>24</v>
      </c>
      <c r="O4" s="8">
        <v>43.5</v>
      </c>
      <c r="R4" s="6" t="s">
        <v>45</v>
      </c>
      <c r="S4">
        <v>4</v>
      </c>
      <c r="T4" s="8" t="s">
        <v>6</v>
      </c>
      <c r="V4" s="6" t="s">
        <v>45</v>
      </c>
      <c r="W4">
        <v>4</v>
      </c>
      <c r="X4" s="8" t="s">
        <v>6</v>
      </c>
    </row>
    <row r="5" spans="1:24" x14ac:dyDescent="0.25">
      <c r="A5" s="6" t="s">
        <v>8</v>
      </c>
      <c r="B5" s="12">
        <v>-0.2</v>
      </c>
      <c r="C5" s="8" t="s">
        <v>9</v>
      </c>
      <c r="E5" s="9" t="s">
        <v>4</v>
      </c>
      <c r="F5">
        <f>B3</f>
        <v>949.65</v>
      </c>
      <c r="G5" s="8"/>
      <c r="I5" s="6" t="s">
        <v>23</v>
      </c>
      <c r="J5" s="26">
        <f>$F$3+$B$5*(J3-$F$2)*0.01+$B$8*(J3-$F$2)*(J3-$F$2)*0.01</f>
        <v>949.73305862790005</v>
      </c>
      <c r="N5" s="6" t="s">
        <v>23</v>
      </c>
      <c r="O5">
        <f>$C$13+($C$14/100)*(O3-$C$12)</f>
        <v>949.77006600000004</v>
      </c>
      <c r="R5" s="6" t="s">
        <v>46</v>
      </c>
      <c r="S5">
        <v>8</v>
      </c>
      <c r="T5" s="8" t="s">
        <v>47</v>
      </c>
      <c r="V5" s="6" t="s">
        <v>46</v>
      </c>
      <c r="W5">
        <v>8</v>
      </c>
      <c r="X5" s="8" t="s">
        <v>47</v>
      </c>
    </row>
    <row r="6" spans="1:24" x14ac:dyDescent="0.25">
      <c r="A6" s="13" t="s">
        <v>10</v>
      </c>
      <c r="B6" s="7">
        <v>0.42</v>
      </c>
      <c r="C6" s="8" t="s">
        <v>9</v>
      </c>
      <c r="E6" s="9" t="s">
        <v>11</v>
      </c>
      <c r="F6" s="11">
        <f>B2+B4/2</f>
        <v>1550</v>
      </c>
      <c r="G6" s="8"/>
      <c r="I6" s="6" t="s">
        <v>25</v>
      </c>
      <c r="J6" s="8">
        <v>11</v>
      </c>
      <c r="N6" s="6" t="s">
        <v>25</v>
      </c>
      <c r="O6" s="8">
        <v>11</v>
      </c>
      <c r="R6" s="6" t="s">
        <v>48</v>
      </c>
      <c r="S6">
        <v>6</v>
      </c>
      <c r="T6" s="8" t="s">
        <v>47</v>
      </c>
      <c r="V6" s="6" t="s">
        <v>48</v>
      </c>
      <c r="W6">
        <v>6</v>
      </c>
      <c r="X6" s="8" t="s">
        <v>47</v>
      </c>
    </row>
    <row r="7" spans="1:24" ht="15.75" thickBot="1" x14ac:dyDescent="0.3">
      <c r="A7" s="6" t="s">
        <v>12</v>
      </c>
      <c r="B7">
        <f>(B6-B5)/B4</f>
        <v>6.1999999999999998E-3</v>
      </c>
      <c r="C7" s="8"/>
      <c r="E7" s="14" t="s">
        <v>4</v>
      </c>
      <c r="F7" s="15">
        <f>B3+B4*B6/200</f>
        <v>949.86</v>
      </c>
      <c r="G7" s="16"/>
      <c r="I7" s="6" t="s">
        <v>26</v>
      </c>
      <c r="J7" s="8">
        <v>-1.6E-2</v>
      </c>
      <c r="K7" t="s">
        <v>27</v>
      </c>
      <c r="N7" s="6" t="s">
        <v>26</v>
      </c>
      <c r="O7" s="8">
        <v>-1.6E-2</v>
      </c>
      <c r="P7" t="s">
        <v>27</v>
      </c>
      <c r="R7" s="17" t="s">
        <v>49</v>
      </c>
      <c r="S7" s="23">
        <f>S3+S4+S5/12+S6/12</f>
        <v>949.66666666666663</v>
      </c>
      <c r="T7" s="16"/>
      <c r="V7" s="17" t="s">
        <v>49</v>
      </c>
      <c r="W7" s="23">
        <f>W3+W4+W5/12+W6/12</f>
        <v>949.46666666666658</v>
      </c>
      <c r="X7" s="16"/>
    </row>
    <row r="8" spans="1:24" ht="15.75" thickBot="1" x14ac:dyDescent="0.3">
      <c r="A8" s="17" t="s">
        <v>13</v>
      </c>
      <c r="B8" s="15">
        <f>(B6-B5)/(2*B4)</f>
        <v>3.0999999999999999E-3</v>
      </c>
      <c r="C8" s="16"/>
      <c r="E8" s="4" t="s">
        <v>14</v>
      </c>
      <c r="F8" s="5">
        <v>1460.03</v>
      </c>
      <c r="G8" s="3"/>
      <c r="I8" s="6" t="s">
        <v>28</v>
      </c>
      <c r="J8" s="26">
        <f>J5+J6*J7</f>
        <v>949.55705862790001</v>
      </c>
      <c r="N8" s="6" t="s">
        <v>28</v>
      </c>
      <c r="O8" s="26">
        <f>O5+O6*O7</f>
        <v>949.594066</v>
      </c>
    </row>
    <row r="9" spans="1:24" ht="15.75" thickBot="1" x14ac:dyDescent="0.3">
      <c r="B9" s="18"/>
      <c r="E9" s="14" t="s">
        <v>15</v>
      </c>
      <c r="F9" s="23">
        <f>$F$3+$B$5*(F8-$F$2)*0.01+$B$8*(F8-$F$2)*(F8-$F$2)*0.01</f>
        <v>949.73305862790005</v>
      </c>
      <c r="G9" s="16"/>
      <c r="I9" s="6" t="s">
        <v>29</v>
      </c>
      <c r="J9" s="8">
        <v>4</v>
      </c>
      <c r="N9" s="6" t="s">
        <v>29</v>
      </c>
      <c r="O9" s="8">
        <v>4</v>
      </c>
      <c r="R9" s="30" t="s">
        <v>52</v>
      </c>
      <c r="V9" s="30" t="s">
        <v>60</v>
      </c>
    </row>
    <row r="10" spans="1:24" ht="15.75" thickBot="1" x14ac:dyDescent="0.3">
      <c r="I10" s="6" t="s">
        <v>30</v>
      </c>
      <c r="J10" s="8">
        <v>-0.06</v>
      </c>
      <c r="N10" s="6" t="s">
        <v>30</v>
      </c>
      <c r="O10" s="8">
        <v>-0.06</v>
      </c>
      <c r="R10" s="24" t="s">
        <v>44</v>
      </c>
      <c r="S10" s="31">
        <v>944.5</v>
      </c>
      <c r="T10" s="3"/>
      <c r="V10" s="24" t="s">
        <v>56</v>
      </c>
      <c r="W10" s="31">
        <f>W3</f>
        <v>944.3</v>
      </c>
      <c r="X10" s="3"/>
    </row>
    <row r="11" spans="1:24" x14ac:dyDescent="0.25">
      <c r="A11" s="33" t="s">
        <v>17</v>
      </c>
      <c r="B11" s="34"/>
      <c r="C11" s="34"/>
      <c r="D11" s="3"/>
      <c r="I11" s="6" t="s">
        <v>31</v>
      </c>
      <c r="J11" s="26">
        <f>J8+J9*J10</f>
        <v>949.3170586279</v>
      </c>
      <c r="N11" s="6" t="s">
        <v>31</v>
      </c>
      <c r="O11" s="26">
        <f>O8+O9*O10</f>
        <v>949.35406599999999</v>
      </c>
      <c r="R11" s="6" t="s">
        <v>54</v>
      </c>
      <c r="S11">
        <v>4.95</v>
      </c>
      <c r="T11" s="8" t="s">
        <v>6</v>
      </c>
      <c r="V11" s="6" t="s">
        <v>54</v>
      </c>
      <c r="W11">
        <v>4.95</v>
      </c>
      <c r="X11" s="8" t="s">
        <v>6</v>
      </c>
    </row>
    <row r="12" spans="1:24" x14ac:dyDescent="0.25">
      <c r="A12" s="6" t="s">
        <v>18</v>
      </c>
      <c r="C12" s="20">
        <v>1350</v>
      </c>
      <c r="D12" s="8"/>
      <c r="I12" s="6" t="s">
        <v>32</v>
      </c>
      <c r="J12" s="8">
        <v>4</v>
      </c>
      <c r="N12" s="6" t="s">
        <v>32</v>
      </c>
      <c r="O12" s="8">
        <v>4</v>
      </c>
      <c r="R12" s="6" t="s">
        <v>53</v>
      </c>
      <c r="S12">
        <v>0.5</v>
      </c>
      <c r="T12" s="8"/>
      <c r="V12" s="6" t="s">
        <v>53</v>
      </c>
      <c r="W12">
        <v>0.5</v>
      </c>
      <c r="X12" s="8"/>
    </row>
    <row r="13" spans="1:24" x14ac:dyDescent="0.25">
      <c r="A13" s="6" t="s">
        <v>19</v>
      </c>
      <c r="C13" s="7">
        <v>949.95</v>
      </c>
      <c r="D13" s="8"/>
      <c r="I13" s="6" t="s">
        <v>33</v>
      </c>
      <c r="J13" s="8">
        <v>-0.08</v>
      </c>
      <c r="N13" s="6" t="s">
        <v>33</v>
      </c>
      <c r="O13" s="8">
        <v>-0.08</v>
      </c>
      <c r="R13" s="6" t="s">
        <v>55</v>
      </c>
      <c r="S13" s="32">
        <f>S10+S11*S12</f>
        <v>946.97500000000002</v>
      </c>
      <c r="T13" s="8"/>
      <c r="V13" s="6" t="s">
        <v>55</v>
      </c>
      <c r="W13" s="32">
        <f>W10+W11*W12</f>
        <v>946.77499999999998</v>
      </c>
      <c r="X13" s="8"/>
    </row>
    <row r="14" spans="1:24" x14ac:dyDescent="0.25">
      <c r="A14" s="21" t="s">
        <v>20</v>
      </c>
      <c r="B14" s="11"/>
      <c r="C14" s="12">
        <v>-0.2</v>
      </c>
      <c r="D14" s="8" t="s">
        <v>9</v>
      </c>
      <c r="I14" s="6" t="s">
        <v>34</v>
      </c>
      <c r="J14" s="26">
        <f>J11+J12*J13</f>
        <v>948.99705862789995</v>
      </c>
      <c r="N14" s="6" t="s">
        <v>34</v>
      </c>
      <c r="O14" s="26">
        <f>O11+O12*O13</f>
        <v>949.03406599999994</v>
      </c>
      <c r="R14" s="6" t="s">
        <v>57</v>
      </c>
      <c r="S14">
        <v>0.5</v>
      </c>
      <c r="T14" s="8" t="s">
        <v>58</v>
      </c>
      <c r="V14" s="6" t="s">
        <v>57</v>
      </c>
      <c r="W14">
        <v>0.5</v>
      </c>
      <c r="X14" s="8" t="s">
        <v>58</v>
      </c>
    </row>
    <row r="15" spans="1:24" ht="15.75" thickBot="1" x14ac:dyDescent="0.3">
      <c r="A15" s="6"/>
      <c r="D15" s="8"/>
      <c r="I15" s="6" t="s">
        <v>51</v>
      </c>
      <c r="J15" s="8">
        <v>14</v>
      </c>
      <c r="N15" s="6" t="s">
        <v>35</v>
      </c>
      <c r="O15" s="8">
        <f>O4-O6-O9-O12</f>
        <v>24.5</v>
      </c>
      <c r="R15" s="17" t="s">
        <v>59</v>
      </c>
      <c r="S15" s="23">
        <f>S13+S14</f>
        <v>947.47500000000002</v>
      </c>
      <c r="T15" s="16"/>
      <c r="V15" s="17" t="s">
        <v>59</v>
      </c>
      <c r="W15" s="23">
        <f>W13+W14</f>
        <v>947.27499999999998</v>
      </c>
      <c r="X15" s="16"/>
    </row>
    <row r="16" spans="1:24" x14ac:dyDescent="0.25">
      <c r="A16" s="35" t="s">
        <v>14</v>
      </c>
      <c r="B16" s="36"/>
      <c r="C16" s="11">
        <v>1400</v>
      </c>
      <c r="D16" s="8"/>
      <c r="I16" s="6" t="s">
        <v>36</v>
      </c>
      <c r="J16" s="27">
        <f>-1/6</f>
        <v>-0.16666666666666666</v>
      </c>
      <c r="N16" s="6" t="s">
        <v>36</v>
      </c>
      <c r="O16" s="27">
        <f>-1/6</f>
        <v>-0.16666666666666666</v>
      </c>
    </row>
    <row r="17" spans="1:15" x14ac:dyDescent="0.25">
      <c r="A17" s="35" t="s">
        <v>15</v>
      </c>
      <c r="B17" s="36"/>
      <c r="C17">
        <f>$C$13+($C$14/100)*(C16-$C$12)</f>
        <v>949.85</v>
      </c>
      <c r="D17" s="8"/>
      <c r="I17" s="6" t="s">
        <v>37</v>
      </c>
      <c r="J17" s="28">
        <f>J14+J15*J16</f>
        <v>946.66372529456658</v>
      </c>
      <c r="N17" s="6" t="s">
        <v>37</v>
      </c>
      <c r="O17" s="28">
        <f>O14+O15*O16</f>
        <v>944.95073266666657</v>
      </c>
    </row>
    <row r="18" spans="1:15" x14ac:dyDescent="0.25">
      <c r="A18" s="13"/>
      <c r="B18" s="22"/>
      <c r="C18">
        <f>$C$13+($C$14/100)*(C16-$C$12)</f>
        <v>949.85</v>
      </c>
      <c r="D18" s="8"/>
      <c r="I18" s="6" t="s">
        <v>38</v>
      </c>
      <c r="J18" s="8">
        <v>0.5</v>
      </c>
      <c r="N18" s="6" t="s">
        <v>38</v>
      </c>
      <c r="O18" s="8">
        <v>0.5</v>
      </c>
    </row>
    <row r="19" spans="1:15" ht="15.75" thickBot="1" x14ac:dyDescent="0.3">
      <c r="A19" s="17"/>
      <c r="B19" s="15"/>
      <c r="C19" s="15"/>
      <c r="D19" s="16"/>
      <c r="I19" s="17" t="s">
        <v>39</v>
      </c>
      <c r="J19" s="29">
        <f>J17+J18</f>
        <v>947.16372529456658</v>
      </c>
      <c r="N19" s="17" t="s">
        <v>39</v>
      </c>
      <c r="O19" s="29">
        <f>O17+O18</f>
        <v>945.45073266666657</v>
      </c>
    </row>
    <row r="25" spans="1:15" ht="15.75" thickBot="1" x14ac:dyDescent="0.3">
      <c r="I25" t="s">
        <v>41</v>
      </c>
      <c r="N25" t="s">
        <v>42</v>
      </c>
    </row>
    <row r="26" spans="1:15" x14ac:dyDescent="0.25">
      <c r="I26" s="24" t="s">
        <v>22</v>
      </c>
      <c r="J26" s="25">
        <v>1460.03</v>
      </c>
      <c r="N26" s="24" t="s">
        <v>22</v>
      </c>
      <c r="O26" s="25">
        <v>1439.9670000000001</v>
      </c>
    </row>
    <row r="27" spans="1:15" x14ac:dyDescent="0.25">
      <c r="I27" s="6" t="s">
        <v>24</v>
      </c>
      <c r="J27" s="8">
        <v>43.5</v>
      </c>
      <c r="N27" s="6" t="s">
        <v>24</v>
      </c>
      <c r="O27" s="8">
        <v>43.5</v>
      </c>
    </row>
    <row r="28" spans="1:15" x14ac:dyDescent="0.25">
      <c r="I28" s="6" t="s">
        <v>23</v>
      </c>
      <c r="J28" s="26">
        <f>$F$3+$B$5*(J26-$F$2)*0.01+$B$8*(J26-$F$2)*(J26-$F$2)*0.01</f>
        <v>949.73305862790005</v>
      </c>
      <c r="N28" s="6" t="s">
        <v>23</v>
      </c>
      <c r="O28" s="8">
        <f>$C$13+($C$14/100)*(O26-$C$12)</f>
        <v>949.77006600000004</v>
      </c>
    </row>
    <row r="29" spans="1:15" x14ac:dyDescent="0.25">
      <c r="I29" s="6" t="s">
        <v>25</v>
      </c>
      <c r="J29" s="8">
        <v>11</v>
      </c>
      <c r="N29" s="6" t="s">
        <v>25</v>
      </c>
      <c r="O29" s="8">
        <v>11</v>
      </c>
    </row>
    <row r="30" spans="1:15" x14ac:dyDescent="0.25">
      <c r="I30" s="6" t="s">
        <v>26</v>
      </c>
      <c r="J30" s="8">
        <v>-1.6E-2</v>
      </c>
      <c r="K30" t="s">
        <v>27</v>
      </c>
      <c r="N30" s="6" t="s">
        <v>26</v>
      </c>
      <c r="O30" s="8">
        <v>-1.6E-2</v>
      </c>
    </row>
    <row r="31" spans="1:15" x14ac:dyDescent="0.25">
      <c r="I31" s="6" t="s">
        <v>28</v>
      </c>
      <c r="J31" s="26">
        <f>J28+J29*J30</f>
        <v>949.55705862790001</v>
      </c>
      <c r="N31" s="6" t="s">
        <v>28</v>
      </c>
      <c r="O31" s="26">
        <f>O28+O29*O30</f>
        <v>949.594066</v>
      </c>
    </row>
    <row r="32" spans="1:15" x14ac:dyDescent="0.25">
      <c r="I32" s="6" t="s">
        <v>29</v>
      </c>
      <c r="J32" s="8">
        <v>4</v>
      </c>
      <c r="N32" s="6" t="s">
        <v>29</v>
      </c>
      <c r="O32" s="8">
        <v>4</v>
      </c>
    </row>
    <row r="33" spans="9:15" x14ac:dyDescent="0.25">
      <c r="I33" s="6" t="s">
        <v>30</v>
      </c>
      <c r="J33" s="8">
        <v>-0.06</v>
      </c>
      <c r="N33" s="6" t="s">
        <v>30</v>
      </c>
      <c r="O33" s="8">
        <v>-0.06</v>
      </c>
    </row>
    <row r="34" spans="9:15" x14ac:dyDescent="0.25">
      <c r="I34" s="6" t="s">
        <v>31</v>
      </c>
      <c r="J34" s="26">
        <f>J31+J32*J33</f>
        <v>949.3170586279</v>
      </c>
      <c r="N34" s="6" t="s">
        <v>31</v>
      </c>
      <c r="O34" s="26">
        <f>O31+O32*O33</f>
        <v>949.35406599999999</v>
      </c>
    </row>
    <row r="35" spans="9:15" x14ac:dyDescent="0.25">
      <c r="I35" s="6" t="s">
        <v>32</v>
      </c>
      <c r="J35" s="8">
        <v>4</v>
      </c>
      <c r="N35" s="6" t="s">
        <v>32</v>
      </c>
      <c r="O35" s="8">
        <v>4</v>
      </c>
    </row>
    <row r="36" spans="9:15" x14ac:dyDescent="0.25">
      <c r="I36" s="6" t="s">
        <v>33</v>
      </c>
      <c r="J36" s="8">
        <v>-0.08</v>
      </c>
      <c r="N36" s="6" t="s">
        <v>33</v>
      </c>
      <c r="O36" s="8">
        <v>-0.08</v>
      </c>
    </row>
    <row r="37" spans="9:15" x14ac:dyDescent="0.25">
      <c r="I37" s="6" t="s">
        <v>34</v>
      </c>
      <c r="J37" s="26">
        <f>J34+J35*J36</f>
        <v>948.99705862789995</v>
      </c>
      <c r="N37" s="6" t="s">
        <v>34</v>
      </c>
      <c r="O37" s="26">
        <f>O34+O35*O36</f>
        <v>949.03406599999994</v>
      </c>
    </row>
    <row r="38" spans="9:15" x14ac:dyDescent="0.25">
      <c r="I38" s="6" t="s">
        <v>35</v>
      </c>
      <c r="J38" s="8">
        <f>J27-J29-J32-J35</f>
        <v>24.5</v>
      </c>
      <c r="N38" s="6" t="s">
        <v>35</v>
      </c>
      <c r="O38" s="8">
        <f>O27-O29-O32-O35</f>
        <v>24.5</v>
      </c>
    </row>
    <row r="39" spans="9:15" x14ac:dyDescent="0.25">
      <c r="I39" s="6" t="s">
        <v>36</v>
      </c>
      <c r="J39" s="27">
        <f>-1/6</f>
        <v>-0.16666666666666666</v>
      </c>
      <c r="N39" s="6" t="s">
        <v>36</v>
      </c>
      <c r="O39" s="27">
        <f>-1/6</f>
        <v>-0.16666666666666666</v>
      </c>
    </row>
    <row r="40" spans="9:15" x14ac:dyDescent="0.25">
      <c r="I40" s="6" t="s">
        <v>37</v>
      </c>
      <c r="J40" s="28">
        <f>J37+J38*J39</f>
        <v>944.91372529456658</v>
      </c>
      <c r="N40" s="6" t="s">
        <v>37</v>
      </c>
      <c r="O40" s="28">
        <f>O37+O38*O39</f>
        <v>944.95073266666657</v>
      </c>
    </row>
    <row r="41" spans="9:15" x14ac:dyDescent="0.25">
      <c r="I41" s="6" t="s">
        <v>38</v>
      </c>
      <c r="J41" s="8">
        <v>0.5</v>
      </c>
      <c r="N41" s="6" t="s">
        <v>38</v>
      </c>
      <c r="O41" s="8">
        <v>0.5</v>
      </c>
    </row>
    <row r="42" spans="9:15" ht="15.75" thickBot="1" x14ac:dyDescent="0.3">
      <c r="I42" s="17" t="s">
        <v>39</v>
      </c>
      <c r="J42" s="29">
        <f>J40+J41</f>
        <v>945.41372529456658</v>
      </c>
      <c r="N42" s="17" t="s">
        <v>39</v>
      </c>
      <c r="O42" s="29">
        <f>O40+O41</f>
        <v>945.45073266666657</v>
      </c>
    </row>
  </sheetData>
  <mergeCells count="3">
    <mergeCell ref="A11:C11"/>
    <mergeCell ref="A16:B16"/>
    <mergeCell ref="A17:B17"/>
  </mergeCells>
  <pageMargins left="0.25" right="0.25" top="0.75" bottom="0.75" header="0.3" footer="0.3"/>
  <pageSetup orientation="landscape" horizontalDpi="1200" verticalDpi="1200" r:id="rId1"/>
  <colBreaks count="1" manualBreakCount="1">
    <brk id="17" max="4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Shrestha</dc:creator>
  <cp:lastModifiedBy>Milan Shrestha</cp:lastModifiedBy>
  <cp:lastPrinted>2024-03-20T14:35:18Z</cp:lastPrinted>
  <dcterms:created xsi:type="dcterms:W3CDTF">2015-06-05T18:17:20Z</dcterms:created>
  <dcterms:modified xsi:type="dcterms:W3CDTF">2024-03-20T14:36:02Z</dcterms:modified>
</cp:coreProperties>
</file>